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Area" localSheetId="0">'Foaie1'!$A$1:$O$53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<sst xmlns="http://schemas.openxmlformats.org/spreadsheetml/2006/main" count="58" uniqueCount="58">
  <si>
    <t>NUME FURNIZOR</t>
  </si>
  <si>
    <t>CABINET PHYSIODINAMIC FIZIOTERAPIE SI RECUPERARE MEDICALA</t>
  </si>
  <si>
    <t>S.C. FIZIOTRIMED SRL</t>
  </si>
  <si>
    <t>S.C.T.B. BUZIAS S.A.</t>
  </si>
  <si>
    <t>CABINET MEDICAL DR.TOTH MARINELA -RECUP MEDICALA</t>
  </si>
  <si>
    <t>CAB.FIZIOTERAPIE SI RECUPERARE ELMAR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</si>
  <si>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</si>
  <si>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</si>
  <si>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</si>
  <si>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</si>
  <si>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</si>
  <si>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</si>
  <si>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</si>
  <si>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</si>
  <si>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</si>
  <si>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</si>
  <si>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</si>
  <si>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</si>
  <si>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</si>
  <si>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</si>
  <si>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</si>
  <si>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</si>
  <si>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</si>
  <si>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</si>
  <si>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</si>
  <si>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</si>
  <si>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</si>
  <si>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VALOARE APARATE 50% </t>
  </si>
  <si>
    <t xml:space="preserve">VALOARE PERSONAL 50% </t>
  </si>
  <si>
    <t xml:space="preserve"> SPITALUL CLINIC MUNICIPAL DE URGENTA TIMISOARA</t>
  </si>
  <si>
    <t xml:space="preserve">TOTAL VAL APARATE 50% RECUP </t>
  </si>
  <si>
    <t>SC POLICLINICA SANITAS</t>
  </si>
  <si>
    <t>PUNCTE APARATE (B/A*A1)</t>
  </si>
  <si>
    <t>TOTAL PROCEDURI/APARATURA/ORA (a)</t>
  </si>
  <si>
    <t>TOTAL PROCEDURI /PERS MEDIU SANITAR/ORA (b)</t>
  </si>
  <si>
    <t>SC FIZIOTERA CONCEPT SRL (SC CABINET MEDICAL DE FIZIOTERAPIE DR BURCHICI ADINA SRL)</t>
  </si>
  <si>
    <t>SC FIZIO KINETIC TM SRL</t>
  </si>
  <si>
    <t>SC ADHD  FIZIO SRL</t>
  </si>
  <si>
    <t>AC ARVA FIZIO SRL</t>
  </si>
  <si>
    <t xml:space="preserve">TOTAL VAL PERSONAL SUPL 50% RECUP </t>
  </si>
  <si>
    <t>SC CENTRUL MEDICAL ORTHOPEDICS SRL</t>
  </si>
  <si>
    <t>ACUPUNCTURA PROCENT DIN RECUPERARE</t>
  </si>
  <si>
    <t>10,3%</t>
  </si>
  <si>
    <t>VALOARE ACUPUNCTURA  IANUARIE 2021</t>
  </si>
  <si>
    <t>TOTAL VALOARE CONTRACT PENTRU LUNA FEBRUARIE 2021</t>
  </si>
  <si>
    <t>REPARTIZATA CONFORM PUNCTAJELOR PENTRU FURNIZORII DE SERVICII MEDICALE DE MEDICINA FIZICA SI DE REABILITARE</t>
  </si>
  <si>
    <t>SITUATIA  SUMELOR AFERENTE LUNII FEBRUARIE 2021</t>
  </si>
  <si>
    <t>TOTAL BUGET ALOCAT RECUPERARE SI ACUPUNCTURA IANUARIE-FEBRUARIE 2021</t>
  </si>
  <si>
    <t xml:space="preserve">TOTAL VALOARE CONTRACT IAN 2021 </t>
  </si>
  <si>
    <t xml:space="preserve">TOTAL VALOARE DISPONIBILA FEB 2021 </t>
  </si>
  <si>
    <t>VALOARE ACUPUNCTURA FEBRUARIE 2021</t>
  </si>
  <si>
    <t>TOTAL VAL  ACUPUNCTURA IAN-FEB 2021 -PROCENT 10,3% DIN TOTAL BUGET RECUPERARE IAN-FEB 2021</t>
  </si>
  <si>
    <t>TOTAL VAL RECUPERARE IAN-FEB 2021 FARA ACUPUNCTURA</t>
  </si>
  <si>
    <t>VAL RECUPERARE/  IANUARIE 2021</t>
  </si>
  <si>
    <t>VALOARE RECUPERARE FEBRUARIE 2021</t>
  </si>
  <si>
    <t>VAL PCT APARAT FEBRUARIE 2021</t>
  </si>
  <si>
    <t>VAL PCT PERSONAL FEBRUARIE 2021</t>
  </si>
  <si>
    <t>NR.
Crt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</si>
</sst>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7" fillId="0" borderId="0" xfId="0" applyNumberFormat="1" applyFont="1" applyFill="1" applyBorder="1" applyAlignment="1" quotePrefix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9.7109375" style="20" customWidth="1"/>
    <col min="2" max="2" width="57.7109375" style="20" customWidth="1"/>
    <col min="3" max="3" width="15.140625" style="20" customWidth="1"/>
    <col min="4" max="4" width="13.8515625" style="20" customWidth="1"/>
    <col min="5" max="5" width="13.7109375" style="20" customWidth="1"/>
    <col min="6" max="6" width="9.421875" style="20" customWidth="1"/>
    <col min="7" max="7" width="13.140625" style="20" customWidth="1"/>
    <col min="8" max="8" width="9.00390625" style="20" customWidth="1"/>
    <col min="9" max="9" width="9.421875" style="20" customWidth="1"/>
    <col min="10" max="10" width="11.57421875" style="20" customWidth="1"/>
    <col min="11" max="11" width="13.140625" style="20" customWidth="1"/>
    <col min="12" max="12" width="11.57421875" style="20" customWidth="1"/>
    <col min="13" max="13" width="15.00390625" style="20" customWidth="1"/>
    <col min="14" max="14" width="14.8515625" style="20" customWidth="1"/>
    <col min="15" max="15" width="17.421875" style="20" customWidth="1"/>
    <col min="16" max="16" width="16.57421875" style="20" customWidth="1"/>
    <col min="17" max="16384" width="9.140625" style="20" customWidth="1"/>
  </cols>
  <sheetData>
    <row r="1" spans="3:14" s="7" customFormat="1" ht="12.75">
      <c r="C1" s="17"/>
      <c r="D1" s="17"/>
      <c r="E1" s="17"/>
      <c r="G1" s="17"/>
      <c r="H1" s="17"/>
      <c r="I1" s="17"/>
      <c r="J1" s="17"/>
      <c r="K1" s="17"/>
      <c r="L1" s="17"/>
      <c r="M1" s="17"/>
      <c r="N1" s="17"/>
    </row>
    <row r="2" spans="1:6" ht="18">
      <c r="A2" s="17"/>
      <c r="B2" s="7"/>
      <c r="C2" s="7"/>
      <c r="D2" s="7"/>
      <c r="E2" s="7"/>
      <c r="F2" s="18"/>
    </row>
    <row r="3" spans="1:8" s="7" customFormat="1" ht="18">
      <c r="A3" s="20"/>
      <c r="B3" s="20"/>
      <c r="C3" s="18" t="s">
        <v>46</v>
      </c>
      <c r="D3" s="17"/>
      <c r="E3" s="17"/>
      <c r="H3" s="17"/>
    </row>
    <row r="4" spans="2:8" s="7" customFormat="1" ht="18">
      <c r="B4" s="18" t="s">
        <v>45</v>
      </c>
      <c r="C4" s="20"/>
      <c r="D4" s="20"/>
      <c r="E4" s="20"/>
      <c r="F4" s="20"/>
      <c r="G4" s="20"/>
      <c r="H4" s="17"/>
    </row>
    <row r="5" spans="2:8" s="7" customFormat="1" ht="18">
      <c r="B5" s="18"/>
      <c r="C5" s="20"/>
      <c r="D5" s="20"/>
      <c r="E5" s="20"/>
      <c r="F5" s="20"/>
      <c r="G5" s="20"/>
      <c r="H5" s="17"/>
    </row>
    <row r="6" spans="1:9" s="7" customFormat="1" ht="18">
      <c r="A6" s="17"/>
      <c r="B6" s="26"/>
      <c r="C6" s="18"/>
      <c r="D6" s="20"/>
      <c r="E6" s="20"/>
      <c r="F6" s="20"/>
      <c r="G6" s="20"/>
      <c r="H6" s="17"/>
      <c r="I6" s="17"/>
    </row>
    <row r="7" spans="1:15" s="7" customFormat="1" ht="87.75" customHeight="1">
      <c r="A7" s="23" t="s">
        <v>57</v>
      </c>
      <c r="B7" s="2" t="s">
        <v>0</v>
      </c>
      <c r="C7" s="2" t="s">
        <v>7</v>
      </c>
      <c r="D7" s="2" t="s">
        <v>33</v>
      </c>
      <c r="E7" s="2" t="s">
        <v>34</v>
      </c>
      <c r="F7" s="2" t="s">
        <v>10</v>
      </c>
      <c r="G7" s="2" t="s">
        <v>32</v>
      </c>
      <c r="H7" s="2" t="s">
        <v>8</v>
      </c>
      <c r="I7" s="2" t="s">
        <v>11</v>
      </c>
      <c r="J7" s="2" t="s">
        <v>13</v>
      </c>
      <c r="K7" s="2" t="s">
        <v>17</v>
      </c>
      <c r="L7" s="2" t="s">
        <v>9</v>
      </c>
      <c r="M7" s="2" t="s">
        <v>27</v>
      </c>
      <c r="N7" s="2" t="s">
        <v>28</v>
      </c>
      <c r="O7" s="2" t="s">
        <v>44</v>
      </c>
    </row>
    <row r="8" spans="1:17" ht="53.25" customHeight="1">
      <c r="A8" s="2">
        <v>1</v>
      </c>
      <c r="B8" s="1" t="s">
        <v>35</v>
      </c>
      <c r="C8" s="1">
        <v>160</v>
      </c>
      <c r="D8" s="1">
        <f>39+16</f>
        <v>55</v>
      </c>
      <c r="E8" s="1">
        <f>45-2.5+5-5-20+2.5+2.5</f>
        <v>27.5</v>
      </c>
      <c r="F8" s="19">
        <f aca="true" t="shared" si="0" ref="F8:F19">E8/D8</f>
        <v>0.5</v>
      </c>
      <c r="G8" s="19">
        <f>F8*C8</f>
        <v>80</v>
      </c>
      <c r="H8" s="1">
        <f>60-20</f>
        <v>40</v>
      </c>
      <c r="I8" s="1">
        <v>0</v>
      </c>
      <c r="J8" s="19">
        <f>G8+H8</f>
        <v>120</v>
      </c>
      <c r="K8" s="1">
        <f>107+4.38-2.38-26.5-30+3.75+3.75</f>
        <v>60</v>
      </c>
      <c r="L8" s="19">
        <f>J8+K8</f>
        <v>180</v>
      </c>
      <c r="M8" s="19">
        <f aca="true" t="shared" si="1" ref="M8:M32">J8*$D$48</f>
        <v>3532.2787285493887</v>
      </c>
      <c r="N8" s="19">
        <f aca="true" t="shared" si="2" ref="N8:N32">K8*$D$50</f>
        <v>3382.6964356638887</v>
      </c>
      <c r="O8" s="19">
        <v>6914.98</v>
      </c>
      <c r="Q8" s="21"/>
    </row>
    <row r="9" spans="1:17" ht="33" customHeight="1">
      <c r="A9" s="2">
        <v>2</v>
      </c>
      <c r="B9" s="1" t="s">
        <v>12</v>
      </c>
      <c r="C9" s="1">
        <f>185-6</f>
        <v>179</v>
      </c>
      <c r="D9" s="1">
        <v>64</v>
      </c>
      <c r="E9" s="1">
        <v>70</v>
      </c>
      <c r="F9" s="19">
        <f t="shared" si="0"/>
        <v>1.09375</v>
      </c>
      <c r="G9" s="19">
        <f>C9</f>
        <v>179</v>
      </c>
      <c r="H9" s="1">
        <v>60</v>
      </c>
      <c r="I9" s="1">
        <v>0</v>
      </c>
      <c r="J9" s="19">
        <f aca="true" t="shared" si="3" ref="J9:J15">G9+H9+I9</f>
        <v>239</v>
      </c>
      <c r="K9" s="1">
        <f>125+3.59</f>
        <v>128.59</v>
      </c>
      <c r="L9" s="19">
        <f aca="true" t="shared" si="4" ref="L9:L32">J9+K9</f>
        <v>367.59000000000003</v>
      </c>
      <c r="M9" s="19">
        <f t="shared" si="1"/>
        <v>7035.1218010275325</v>
      </c>
      <c r="N9" s="19">
        <f t="shared" si="2"/>
        <v>7249.682244366991</v>
      </c>
      <c r="O9" s="19">
        <v>14284.8</v>
      </c>
      <c r="Q9" s="21"/>
    </row>
    <row r="10" spans="1:17" ht="33" customHeight="1">
      <c r="A10" s="2">
        <v>3</v>
      </c>
      <c r="B10" s="1" t="s">
        <v>14</v>
      </c>
      <c r="C10" s="1">
        <v>135</v>
      </c>
      <c r="D10" s="1">
        <v>39</v>
      </c>
      <c r="E10" s="1">
        <v>40</v>
      </c>
      <c r="F10" s="19">
        <f t="shared" si="0"/>
        <v>1.0256410256410255</v>
      </c>
      <c r="G10" s="19">
        <f>C10</f>
        <v>135</v>
      </c>
      <c r="H10" s="1">
        <v>40</v>
      </c>
      <c r="I10" s="1">
        <v>0</v>
      </c>
      <c r="J10" s="19">
        <f t="shared" si="3"/>
        <v>175</v>
      </c>
      <c r="K10" s="1">
        <f>63+2</f>
        <v>65</v>
      </c>
      <c r="L10" s="19">
        <f t="shared" si="4"/>
        <v>240</v>
      </c>
      <c r="M10" s="19">
        <f t="shared" si="1"/>
        <v>5151.239812467858</v>
      </c>
      <c r="N10" s="19">
        <f t="shared" si="2"/>
        <v>3664.5878053025463</v>
      </c>
      <c r="O10" s="19">
        <v>8815.83</v>
      </c>
      <c r="Q10" s="21"/>
    </row>
    <row r="11" spans="1:17" ht="47.25" customHeight="1">
      <c r="A11" s="2">
        <v>4</v>
      </c>
      <c r="B11" s="1" t="s">
        <v>1</v>
      </c>
      <c r="C11" s="1">
        <f>138-20-20-8+20+10</f>
        <v>120</v>
      </c>
      <c r="D11" s="1">
        <f>52-8-8-2+8+3</f>
        <v>45</v>
      </c>
      <c r="E11" s="1">
        <f>52-10+8+10</f>
        <v>60</v>
      </c>
      <c r="F11" s="19">
        <f t="shared" si="0"/>
        <v>1.3333333333333333</v>
      </c>
      <c r="G11" s="19">
        <f>C11</f>
        <v>120</v>
      </c>
      <c r="H11" s="1">
        <v>60</v>
      </c>
      <c r="I11" s="1">
        <v>16</v>
      </c>
      <c r="J11" s="19">
        <f t="shared" si="3"/>
        <v>196</v>
      </c>
      <c r="K11" s="1">
        <f>80+2+15-10+10-10+15</f>
        <v>102</v>
      </c>
      <c r="L11" s="19">
        <f t="shared" si="4"/>
        <v>298</v>
      </c>
      <c r="M11" s="19">
        <f t="shared" si="1"/>
        <v>5769.388589964002</v>
      </c>
      <c r="N11" s="19">
        <f t="shared" si="2"/>
        <v>5750.58394062861</v>
      </c>
      <c r="O11" s="19">
        <v>11519.97</v>
      </c>
      <c r="Q11" s="21"/>
    </row>
    <row r="12" spans="1:17" ht="38.25" customHeight="1">
      <c r="A12" s="2">
        <v>5</v>
      </c>
      <c r="B12" s="1" t="s">
        <v>15</v>
      </c>
      <c r="C12" s="1">
        <v>60</v>
      </c>
      <c r="D12" s="1">
        <v>24</v>
      </c>
      <c r="E12" s="1">
        <v>20</v>
      </c>
      <c r="F12" s="19">
        <f t="shared" si="0"/>
        <v>0.8333333333333334</v>
      </c>
      <c r="G12" s="19">
        <f>F12*C12</f>
        <v>50</v>
      </c>
      <c r="H12" s="1">
        <v>60</v>
      </c>
      <c r="I12" s="1">
        <v>0</v>
      </c>
      <c r="J12" s="19">
        <f t="shared" si="3"/>
        <v>110</v>
      </c>
      <c r="K12" s="1">
        <f>45+2</f>
        <v>47</v>
      </c>
      <c r="L12" s="19">
        <f t="shared" si="4"/>
        <v>157</v>
      </c>
      <c r="M12" s="19">
        <f t="shared" si="1"/>
        <v>3237.92216783694</v>
      </c>
      <c r="N12" s="19">
        <f t="shared" si="2"/>
        <v>2649.7788746033793</v>
      </c>
      <c r="O12" s="19">
        <v>5887.7</v>
      </c>
      <c r="Q12" s="21"/>
    </row>
    <row r="13" spans="1:17" ht="37.5" customHeight="1">
      <c r="A13" s="2">
        <v>6</v>
      </c>
      <c r="B13" s="1" t="s">
        <v>25</v>
      </c>
      <c r="C13" s="1">
        <v>175</v>
      </c>
      <c r="D13" s="1">
        <v>58</v>
      </c>
      <c r="E13" s="1">
        <v>60</v>
      </c>
      <c r="F13" s="19">
        <f t="shared" si="0"/>
        <v>1.0344827586206897</v>
      </c>
      <c r="G13" s="19">
        <f>C13</f>
        <v>175</v>
      </c>
      <c r="H13" s="1">
        <v>60</v>
      </c>
      <c r="I13" s="1">
        <v>0</v>
      </c>
      <c r="J13" s="19">
        <f>G13+H13+I13</f>
        <v>235</v>
      </c>
      <c r="K13" s="1">
        <f>88+2+15+18</f>
        <v>123</v>
      </c>
      <c r="L13" s="19">
        <f>J13+K13</f>
        <v>358</v>
      </c>
      <c r="M13" s="19">
        <f t="shared" si="1"/>
        <v>6917.379176742553</v>
      </c>
      <c r="N13" s="19">
        <f t="shared" si="2"/>
        <v>6934.527693110972</v>
      </c>
      <c r="O13" s="19">
        <v>13851.91</v>
      </c>
      <c r="Q13" s="21"/>
    </row>
    <row r="14" spans="1:17" ht="30.75" customHeight="1">
      <c r="A14" s="2">
        <v>7</v>
      </c>
      <c r="B14" s="1" t="s">
        <v>2</v>
      </c>
      <c r="C14" s="1">
        <f>70-4-4-2+20</f>
        <v>80</v>
      </c>
      <c r="D14" s="1">
        <f>41-8-5-2+8</f>
        <v>34</v>
      </c>
      <c r="E14" s="1">
        <f>50-5</f>
        <v>45</v>
      </c>
      <c r="F14" s="19">
        <f t="shared" si="0"/>
        <v>1.3235294117647058</v>
      </c>
      <c r="G14" s="19">
        <f>C14</f>
        <v>80</v>
      </c>
      <c r="H14" s="1">
        <v>40</v>
      </c>
      <c r="I14" s="1">
        <v>0</v>
      </c>
      <c r="J14" s="19">
        <f t="shared" si="3"/>
        <v>120</v>
      </c>
      <c r="K14" s="1">
        <f>97.5+2-15</f>
        <v>84.5</v>
      </c>
      <c r="L14" s="19">
        <f t="shared" si="4"/>
        <v>204.5</v>
      </c>
      <c r="M14" s="19">
        <f t="shared" si="1"/>
        <v>3532.2787285493887</v>
      </c>
      <c r="N14" s="19">
        <f t="shared" si="2"/>
        <v>4763.96414689331</v>
      </c>
      <c r="O14" s="19">
        <v>8296.24</v>
      </c>
      <c r="Q14" s="21"/>
    </row>
    <row r="15" spans="1:17" ht="42" customHeight="1">
      <c r="A15" s="2">
        <v>8</v>
      </c>
      <c r="B15" s="1" t="s">
        <v>19</v>
      </c>
      <c r="C15" s="1">
        <f>120+40</f>
        <v>160</v>
      </c>
      <c r="D15" s="1">
        <v>65</v>
      </c>
      <c r="E15" s="1">
        <f>67.5-10+7.5</f>
        <v>65</v>
      </c>
      <c r="F15" s="19">
        <f t="shared" si="0"/>
        <v>1</v>
      </c>
      <c r="G15" s="19">
        <f>F15*C15</f>
        <v>160</v>
      </c>
      <c r="H15" s="1">
        <v>40</v>
      </c>
      <c r="I15" s="1">
        <v>0</v>
      </c>
      <c r="J15" s="19">
        <f t="shared" si="3"/>
        <v>200</v>
      </c>
      <c r="K15" s="1">
        <f>98+2-10+15+2-10+2.5+22.5-15+7.5-10+18+1</f>
        <v>123.5</v>
      </c>
      <c r="L15" s="19">
        <f>J15+K15</f>
        <v>323.5</v>
      </c>
      <c r="M15" s="19">
        <f t="shared" si="1"/>
        <v>5887.131214248981</v>
      </c>
      <c r="N15" s="19">
        <f t="shared" si="2"/>
        <v>6962.716830074837</v>
      </c>
      <c r="O15" s="19">
        <v>12849.85</v>
      </c>
      <c r="Q15" s="21"/>
    </row>
    <row r="16" spans="1:17" ht="39.75" customHeight="1">
      <c r="A16" s="2">
        <v>9</v>
      </c>
      <c r="B16" s="1" t="s">
        <v>5</v>
      </c>
      <c r="C16" s="1">
        <f>77-4-2-2+20</f>
        <v>89</v>
      </c>
      <c r="D16" s="1">
        <f>33+8</f>
        <v>41</v>
      </c>
      <c r="E16" s="1">
        <f>40-10</f>
        <v>30</v>
      </c>
      <c r="F16" s="19">
        <f t="shared" si="0"/>
        <v>0.7317073170731707</v>
      </c>
      <c r="G16" s="19">
        <f>C16*0.73</f>
        <v>64.97</v>
      </c>
      <c r="H16" s="1">
        <v>40</v>
      </c>
      <c r="I16" s="1">
        <v>0</v>
      </c>
      <c r="J16" s="19">
        <f aca="true" t="shared" si="5" ref="J16:J26">G16+H16+I16</f>
        <v>104.97</v>
      </c>
      <c r="K16" s="1">
        <f>60+2+18+15+2.38-15</f>
        <v>82.38</v>
      </c>
      <c r="L16" s="19">
        <f t="shared" si="4"/>
        <v>187.35</v>
      </c>
      <c r="M16" s="19">
        <f t="shared" si="1"/>
        <v>3089.860817798578</v>
      </c>
      <c r="N16" s="19">
        <f t="shared" si="2"/>
        <v>4644.442206166519</v>
      </c>
      <c r="O16" s="19">
        <v>7734.3</v>
      </c>
      <c r="Q16" s="21"/>
    </row>
    <row r="17" spans="1:17" ht="39" customHeight="1">
      <c r="A17" s="2">
        <v>10</v>
      </c>
      <c r="B17" s="1" t="s">
        <v>16</v>
      </c>
      <c r="C17" s="1">
        <f>120-4</f>
        <v>116</v>
      </c>
      <c r="D17" s="1">
        <v>40</v>
      </c>
      <c r="E17" s="1">
        <f>30-10+5-5+5</f>
        <v>25</v>
      </c>
      <c r="F17" s="19">
        <f t="shared" si="0"/>
        <v>0.625</v>
      </c>
      <c r="G17" s="19">
        <f>C17*0.63</f>
        <v>73.08</v>
      </c>
      <c r="H17" s="1">
        <v>40</v>
      </c>
      <c r="I17" s="1">
        <v>0</v>
      </c>
      <c r="J17" s="19">
        <f t="shared" si="5"/>
        <v>113.08</v>
      </c>
      <c r="K17" s="1">
        <f>69.5+2-15+5-9-7.5+7.5</f>
        <v>52.5</v>
      </c>
      <c r="L17" s="19">
        <f t="shared" si="4"/>
        <v>165.57999999999998</v>
      </c>
      <c r="M17" s="19">
        <f t="shared" si="1"/>
        <v>3328.583988536374</v>
      </c>
      <c r="N17" s="19">
        <f t="shared" si="2"/>
        <v>2959.8593812059025</v>
      </c>
      <c r="O17" s="19">
        <v>6288.44</v>
      </c>
      <c r="Q17" s="21"/>
    </row>
    <row r="18" spans="1:17" ht="32.25" customHeight="1">
      <c r="A18" s="2">
        <v>11</v>
      </c>
      <c r="B18" s="1" t="s">
        <v>23</v>
      </c>
      <c r="C18" s="1">
        <v>50</v>
      </c>
      <c r="D18" s="1">
        <v>20</v>
      </c>
      <c r="E18" s="1">
        <v>20</v>
      </c>
      <c r="F18" s="19">
        <f t="shared" si="0"/>
        <v>1</v>
      </c>
      <c r="G18" s="19">
        <f>C18</f>
        <v>50</v>
      </c>
      <c r="H18" s="1">
        <v>40</v>
      </c>
      <c r="I18" s="1">
        <v>0</v>
      </c>
      <c r="J18" s="19">
        <f>G18+H18+I18</f>
        <v>90</v>
      </c>
      <c r="K18" s="1">
        <f>45+2</f>
        <v>47</v>
      </c>
      <c r="L18" s="19">
        <f>J18+K18</f>
        <v>137</v>
      </c>
      <c r="M18" s="19">
        <f t="shared" si="1"/>
        <v>2649.2090464120415</v>
      </c>
      <c r="N18" s="19">
        <f t="shared" si="2"/>
        <v>2649.7788746033793</v>
      </c>
      <c r="O18" s="19">
        <v>5298.99</v>
      </c>
      <c r="Q18" s="21"/>
    </row>
    <row r="19" spans="1:17" ht="38.25" customHeight="1">
      <c r="A19" s="2">
        <v>12</v>
      </c>
      <c r="B19" s="1" t="s">
        <v>22</v>
      </c>
      <c r="C19" s="1">
        <v>80</v>
      </c>
      <c r="D19" s="1">
        <v>25</v>
      </c>
      <c r="E19" s="1">
        <v>22.5</v>
      </c>
      <c r="F19" s="19">
        <f t="shared" si="0"/>
        <v>0.9</v>
      </c>
      <c r="G19" s="19">
        <f>F19*C19</f>
        <v>72</v>
      </c>
      <c r="H19" s="1">
        <v>60</v>
      </c>
      <c r="I19" s="1">
        <v>0</v>
      </c>
      <c r="J19" s="19">
        <f t="shared" si="5"/>
        <v>132</v>
      </c>
      <c r="K19" s="1">
        <f>50.5+2</f>
        <v>52.5</v>
      </c>
      <c r="L19" s="19">
        <f>J19+K19</f>
        <v>184.5</v>
      </c>
      <c r="M19" s="19">
        <f t="shared" si="1"/>
        <v>3885.5066014043277</v>
      </c>
      <c r="N19" s="19">
        <f t="shared" si="2"/>
        <v>2959.8593812059025</v>
      </c>
      <c r="O19" s="19">
        <v>6845.37</v>
      </c>
      <c r="Q19" s="21"/>
    </row>
    <row r="20" spans="1:17" ht="37.5" customHeight="1">
      <c r="A20" s="2">
        <v>13</v>
      </c>
      <c r="B20" s="1" t="s">
        <v>24</v>
      </c>
      <c r="C20" s="1">
        <f>105+15+10</f>
        <v>130</v>
      </c>
      <c r="D20" s="1">
        <v>35</v>
      </c>
      <c r="E20" s="1">
        <f>20+10</f>
        <v>30</v>
      </c>
      <c r="F20" s="19">
        <f>E20/D20</f>
        <v>0.8571428571428571</v>
      </c>
      <c r="G20" s="19">
        <f>C20*F20</f>
        <v>111.42857142857142</v>
      </c>
      <c r="H20" s="1">
        <v>40</v>
      </c>
      <c r="I20" s="1">
        <v>0</v>
      </c>
      <c r="J20" s="19">
        <f>G20+H20+I20</f>
        <v>151.42857142857142</v>
      </c>
      <c r="K20" s="1">
        <f>48+2+15</f>
        <v>65</v>
      </c>
      <c r="L20" s="19">
        <f>J20+K20</f>
        <v>216.42857142857142</v>
      </c>
      <c r="M20" s="19">
        <f t="shared" si="1"/>
        <v>4457.399347931371</v>
      </c>
      <c r="N20" s="19">
        <f t="shared" si="2"/>
        <v>3664.5878053025463</v>
      </c>
      <c r="O20" s="19">
        <v>8121.99</v>
      </c>
      <c r="Q20" s="21"/>
    </row>
    <row r="21" spans="1:17" ht="46.5" customHeight="1">
      <c r="A21" s="2">
        <v>14</v>
      </c>
      <c r="B21" s="1" t="s">
        <v>20</v>
      </c>
      <c r="C21" s="1">
        <v>60</v>
      </c>
      <c r="D21" s="1">
        <v>24</v>
      </c>
      <c r="E21" s="1">
        <f>40-10</f>
        <v>30</v>
      </c>
      <c r="F21" s="19">
        <f aca="true" t="shared" si="6" ref="F21:F32">E21/D21</f>
        <v>1.25</v>
      </c>
      <c r="G21" s="19">
        <f>C21</f>
        <v>60</v>
      </c>
      <c r="H21" s="1">
        <v>40</v>
      </c>
      <c r="I21" s="1">
        <v>0</v>
      </c>
      <c r="J21" s="19">
        <f t="shared" si="5"/>
        <v>100</v>
      </c>
      <c r="K21" s="1">
        <f>70+2-15</f>
        <v>57</v>
      </c>
      <c r="L21" s="19">
        <f>J21+K21</f>
        <v>157</v>
      </c>
      <c r="M21" s="19">
        <f t="shared" si="1"/>
        <v>2943.5656071244907</v>
      </c>
      <c r="N21" s="19">
        <f t="shared" si="2"/>
        <v>3213.561613880694</v>
      </c>
      <c r="O21" s="19">
        <v>6157.13</v>
      </c>
      <c r="Q21" s="21"/>
    </row>
    <row r="22" spans="1:17" ht="42.75" customHeight="1">
      <c r="A22" s="2">
        <v>15</v>
      </c>
      <c r="B22" s="1" t="s">
        <v>29</v>
      </c>
      <c r="C22" s="1">
        <f>395-28-4-2-2-4+20+20</f>
        <v>395</v>
      </c>
      <c r="D22" s="1">
        <f>150-32+16</f>
        <v>134</v>
      </c>
      <c r="E22" s="1">
        <f>230-10</f>
        <v>220</v>
      </c>
      <c r="F22" s="19">
        <f t="shared" si="6"/>
        <v>1.6417910447761195</v>
      </c>
      <c r="G22" s="19">
        <f>C22</f>
        <v>395</v>
      </c>
      <c r="H22" s="1">
        <v>40</v>
      </c>
      <c r="I22" s="1">
        <v>0</v>
      </c>
      <c r="J22" s="19">
        <f t="shared" si="5"/>
        <v>435</v>
      </c>
      <c r="K22" s="1">
        <f>330.72+4.06-10-40+20-20-10-0.56+9.71</f>
        <v>283.93</v>
      </c>
      <c r="L22" s="19">
        <f t="shared" si="4"/>
        <v>718.9300000000001</v>
      </c>
      <c r="M22" s="19">
        <f t="shared" si="1"/>
        <v>12804.510390991534</v>
      </c>
      <c r="N22" s="19">
        <f t="shared" si="2"/>
        <v>16007.483316300799</v>
      </c>
      <c r="O22" s="19">
        <v>28811.99</v>
      </c>
      <c r="Q22" s="21"/>
    </row>
    <row r="23" spans="1:17" ht="35.25" customHeight="1">
      <c r="A23" s="2">
        <v>16</v>
      </c>
      <c r="B23" s="1" t="s">
        <v>3</v>
      </c>
      <c r="C23" s="1">
        <f>78-4-74</f>
        <v>0</v>
      </c>
      <c r="D23" s="1">
        <f>38-38</f>
        <v>0</v>
      </c>
      <c r="E23" s="1">
        <f>60-10+10+2-10+30-20-10-52</f>
        <v>0</v>
      </c>
      <c r="F23" s="19" t="e">
        <f t="shared" si="6"/>
        <v>#DIV/0!</v>
      </c>
      <c r="G23" s="19">
        <f>C23</f>
        <v>0</v>
      </c>
      <c r="H23" s="1">
        <f>60-60</f>
        <v>0</v>
      </c>
      <c r="I23" s="1">
        <f>40-40</f>
        <v>0</v>
      </c>
      <c r="J23" s="19">
        <f t="shared" si="5"/>
        <v>0</v>
      </c>
      <c r="K23" s="1">
        <f>97-10-87</f>
        <v>0</v>
      </c>
      <c r="L23" s="19">
        <f t="shared" si="4"/>
        <v>0</v>
      </c>
      <c r="M23" s="19">
        <f t="shared" si="1"/>
        <v>0</v>
      </c>
      <c r="N23" s="19">
        <f t="shared" si="2"/>
        <v>0</v>
      </c>
      <c r="O23" s="19">
        <v>0</v>
      </c>
      <c r="Q23" s="21"/>
    </row>
    <row r="24" spans="1:17" ht="35.25" customHeight="1">
      <c r="A24" s="2">
        <v>17</v>
      </c>
      <c r="B24" s="1" t="s">
        <v>38</v>
      </c>
      <c r="C24" s="1">
        <v>90</v>
      </c>
      <c r="D24" s="1">
        <v>28</v>
      </c>
      <c r="E24" s="1">
        <v>25</v>
      </c>
      <c r="F24" s="19">
        <f t="shared" si="6"/>
        <v>0.8928571428571429</v>
      </c>
      <c r="G24" s="19">
        <f>F24*C24</f>
        <v>80.35714285714286</v>
      </c>
      <c r="H24" s="1">
        <v>40</v>
      </c>
      <c r="I24" s="1">
        <v>0</v>
      </c>
      <c r="J24" s="19">
        <f t="shared" si="5"/>
        <v>120.35714285714286</v>
      </c>
      <c r="K24" s="1">
        <f>54+2-1+9</f>
        <v>64</v>
      </c>
      <c r="L24" s="19">
        <f t="shared" si="4"/>
        <v>184.35714285714286</v>
      </c>
      <c r="M24" s="19">
        <f t="shared" si="1"/>
        <v>3542.7914628605477</v>
      </c>
      <c r="N24" s="19">
        <f t="shared" si="2"/>
        <v>3608.2095313748146</v>
      </c>
      <c r="O24" s="19">
        <v>7151</v>
      </c>
      <c r="Q24" s="21"/>
    </row>
    <row r="25" spans="1:17" ht="44.25" customHeight="1">
      <c r="A25" s="2">
        <v>18</v>
      </c>
      <c r="B25" s="1" t="s">
        <v>4</v>
      </c>
      <c r="C25" s="1">
        <v>55</v>
      </c>
      <c r="D25" s="1">
        <v>20</v>
      </c>
      <c r="E25" s="1">
        <v>20</v>
      </c>
      <c r="F25" s="19">
        <f t="shared" si="6"/>
        <v>1</v>
      </c>
      <c r="G25" s="19">
        <f>F25*C25</f>
        <v>55</v>
      </c>
      <c r="H25" s="1">
        <v>40</v>
      </c>
      <c r="I25" s="1">
        <v>0</v>
      </c>
      <c r="J25" s="19">
        <f t="shared" si="5"/>
        <v>95</v>
      </c>
      <c r="K25" s="1">
        <f>45+2</f>
        <v>47</v>
      </c>
      <c r="L25" s="19">
        <f t="shared" si="4"/>
        <v>142</v>
      </c>
      <c r="M25" s="19">
        <f t="shared" si="1"/>
        <v>2796.387326768266</v>
      </c>
      <c r="N25" s="19">
        <f t="shared" si="2"/>
        <v>2649.7788746033793</v>
      </c>
      <c r="O25" s="19">
        <v>5446.17</v>
      </c>
      <c r="Q25" s="21"/>
    </row>
    <row r="26" spans="1:17" ht="37.5" customHeight="1">
      <c r="A26" s="2">
        <v>19</v>
      </c>
      <c r="B26" s="1" t="s">
        <v>21</v>
      </c>
      <c r="C26" s="1">
        <f>261-4-2-2</f>
        <v>253</v>
      </c>
      <c r="D26" s="1">
        <v>115</v>
      </c>
      <c r="E26" s="1">
        <f>115-10-10-10</f>
        <v>85</v>
      </c>
      <c r="F26" s="19">
        <f t="shared" si="6"/>
        <v>0.7391304347826086</v>
      </c>
      <c r="G26" s="19">
        <f>F26*C26</f>
        <v>187</v>
      </c>
      <c r="H26" s="1">
        <f>300-60</f>
        <v>240</v>
      </c>
      <c r="I26" s="1">
        <v>40</v>
      </c>
      <c r="J26" s="19">
        <f t="shared" si="5"/>
        <v>467</v>
      </c>
      <c r="K26" s="1">
        <f>218+4.38-15-20-15-15</f>
        <v>157.38</v>
      </c>
      <c r="L26" s="19">
        <f>J26+K26</f>
        <v>624.38</v>
      </c>
      <c r="M26" s="19">
        <f t="shared" si="1"/>
        <v>13746.451385271372</v>
      </c>
      <c r="N26" s="19">
        <f t="shared" si="2"/>
        <v>8872.81275074638</v>
      </c>
      <c r="O26" s="19">
        <v>22619.26</v>
      </c>
      <c r="Q26" s="21"/>
    </row>
    <row r="27" spans="1:17" ht="37.5" customHeight="1">
      <c r="A27" s="2">
        <v>20</v>
      </c>
      <c r="B27" s="1" t="s">
        <v>26</v>
      </c>
      <c r="C27" s="1">
        <f>126-4-4+20</f>
        <v>138</v>
      </c>
      <c r="D27" s="1">
        <v>40</v>
      </c>
      <c r="E27" s="1">
        <v>50</v>
      </c>
      <c r="F27" s="19">
        <f t="shared" si="6"/>
        <v>1.25</v>
      </c>
      <c r="G27" s="19">
        <f>C27</f>
        <v>138</v>
      </c>
      <c r="H27" s="1">
        <f>40+20</f>
        <v>60</v>
      </c>
      <c r="I27" s="1">
        <v>0</v>
      </c>
      <c r="J27" s="19">
        <f>G27+H27+I27</f>
        <v>198</v>
      </c>
      <c r="K27" s="1">
        <f>95+3.75-2-10+9+15+10</f>
        <v>120.75</v>
      </c>
      <c r="L27" s="19">
        <f>J27+K27</f>
        <v>318.75</v>
      </c>
      <c r="M27" s="19">
        <f t="shared" si="1"/>
        <v>5828.259902106492</v>
      </c>
      <c r="N27" s="19">
        <f t="shared" si="2"/>
        <v>6807.676576773576</v>
      </c>
      <c r="O27" s="19">
        <v>12635.94</v>
      </c>
      <c r="Q27" s="21"/>
    </row>
    <row r="28" spans="1:17" ht="37.5" customHeight="1">
      <c r="A28" s="2">
        <v>21</v>
      </c>
      <c r="B28" s="1" t="s">
        <v>31</v>
      </c>
      <c r="C28" s="1">
        <v>50</v>
      </c>
      <c r="D28" s="1">
        <v>21</v>
      </c>
      <c r="E28" s="1">
        <v>22</v>
      </c>
      <c r="F28" s="19">
        <f t="shared" si="6"/>
        <v>1.0476190476190477</v>
      </c>
      <c r="G28" s="19">
        <f>C28</f>
        <v>50</v>
      </c>
      <c r="H28" s="1">
        <v>40</v>
      </c>
      <c r="I28" s="1">
        <v>0</v>
      </c>
      <c r="J28" s="19">
        <f>G28+H28+I28</f>
        <v>90</v>
      </c>
      <c r="K28" s="1">
        <f>55+2</f>
        <v>57</v>
      </c>
      <c r="L28" s="19">
        <f>J28+K28</f>
        <v>147</v>
      </c>
      <c r="M28" s="19">
        <f t="shared" si="1"/>
        <v>2649.2090464120415</v>
      </c>
      <c r="N28" s="19">
        <f t="shared" si="2"/>
        <v>3213.561613880694</v>
      </c>
      <c r="O28" s="19">
        <v>5862.77</v>
      </c>
      <c r="Q28" s="21"/>
    </row>
    <row r="29" spans="1:17" ht="37.5" customHeight="1">
      <c r="A29" s="2">
        <v>22</v>
      </c>
      <c r="B29" s="1" t="s">
        <v>36</v>
      </c>
      <c r="C29" s="1">
        <v>140</v>
      </c>
      <c r="D29" s="1">
        <v>50</v>
      </c>
      <c r="E29" s="1">
        <v>50</v>
      </c>
      <c r="F29" s="19">
        <f t="shared" si="6"/>
        <v>1</v>
      </c>
      <c r="G29" s="19">
        <f>F29*C29</f>
        <v>140</v>
      </c>
      <c r="H29" s="1">
        <v>40</v>
      </c>
      <c r="I29" s="1">
        <v>0</v>
      </c>
      <c r="J29" s="19">
        <f>G29+H29+I29</f>
        <v>180</v>
      </c>
      <c r="K29" s="1">
        <f>90+2</f>
        <v>92</v>
      </c>
      <c r="L29" s="19">
        <f>J29+K29</f>
        <v>272</v>
      </c>
      <c r="M29" s="19">
        <f t="shared" si="1"/>
        <v>5298.418092824083</v>
      </c>
      <c r="N29" s="19">
        <f t="shared" si="2"/>
        <v>5186.801201351296</v>
      </c>
      <c r="O29" s="19">
        <v>10485.22</v>
      </c>
      <c r="Q29" s="21"/>
    </row>
    <row r="30" spans="1:17" ht="32.25" customHeight="1">
      <c r="A30" s="2">
        <v>23</v>
      </c>
      <c r="B30" s="1" t="s">
        <v>37</v>
      </c>
      <c r="C30" s="1">
        <v>95</v>
      </c>
      <c r="D30" s="1">
        <v>34</v>
      </c>
      <c r="E30" s="1">
        <f>32.5+10</f>
        <v>42.5</v>
      </c>
      <c r="F30" s="19">
        <f>E30/D30</f>
        <v>1.25</v>
      </c>
      <c r="G30" s="19">
        <f>C30</f>
        <v>95</v>
      </c>
      <c r="H30" s="1">
        <f>60-20</f>
        <v>40</v>
      </c>
      <c r="I30" s="1">
        <v>0</v>
      </c>
      <c r="J30" s="19">
        <f>I30+H30+G30</f>
        <v>135</v>
      </c>
      <c r="K30" s="1">
        <f>19+45+2.5+2+15</f>
        <v>83.5</v>
      </c>
      <c r="L30" s="19">
        <f>J30+K30</f>
        <v>218.5</v>
      </c>
      <c r="M30" s="19">
        <f t="shared" si="1"/>
        <v>3973.8135696180625</v>
      </c>
      <c r="N30" s="19">
        <f t="shared" si="2"/>
        <v>4707.585872965578</v>
      </c>
      <c r="O30" s="19">
        <v>8681.4</v>
      </c>
      <c r="Q30" s="21"/>
    </row>
    <row r="31" spans="1:17" ht="33" customHeight="1">
      <c r="A31" s="2">
        <v>24</v>
      </c>
      <c r="B31" s="1" t="s">
        <v>40</v>
      </c>
      <c r="C31" s="1">
        <v>70</v>
      </c>
      <c r="D31" s="1">
        <v>28</v>
      </c>
      <c r="E31" s="1">
        <v>35</v>
      </c>
      <c r="F31" s="19">
        <f t="shared" si="6"/>
        <v>1.25</v>
      </c>
      <c r="G31" s="19">
        <f>C31</f>
        <v>70</v>
      </c>
      <c r="H31" s="1">
        <v>60</v>
      </c>
      <c r="I31" s="1">
        <v>0</v>
      </c>
      <c r="J31" s="19">
        <f>G31+H31+I31</f>
        <v>130</v>
      </c>
      <c r="K31" s="1">
        <f>77+3.28</f>
        <v>80.28</v>
      </c>
      <c r="L31" s="19">
        <f t="shared" si="4"/>
        <v>210.28</v>
      </c>
      <c r="M31" s="19">
        <f t="shared" si="1"/>
        <v>3826.635289261838</v>
      </c>
      <c r="N31" s="19">
        <f t="shared" si="2"/>
        <v>4526.047830918283</v>
      </c>
      <c r="O31" s="19">
        <v>8352.68</v>
      </c>
      <c r="Q31" s="21"/>
    </row>
    <row r="32" spans="1:17" ht="56.25" customHeight="1">
      <c r="A32" s="2">
        <v>25</v>
      </c>
      <c r="B32" s="1" t="s">
        <v>18</v>
      </c>
      <c r="C32" s="1">
        <v>255</v>
      </c>
      <c r="D32" s="1">
        <v>95</v>
      </c>
      <c r="E32" s="1">
        <f>106-2</f>
        <v>104</v>
      </c>
      <c r="F32" s="19">
        <f t="shared" si="6"/>
        <v>1.0947368421052632</v>
      </c>
      <c r="G32" s="19">
        <f>C32</f>
        <v>255</v>
      </c>
      <c r="H32" s="1">
        <v>60</v>
      </c>
      <c r="I32" s="1">
        <v>40</v>
      </c>
      <c r="J32" s="19">
        <f>G32+H32+I32</f>
        <v>355</v>
      </c>
      <c r="K32" s="1">
        <f>175-10</f>
        <v>165</v>
      </c>
      <c r="L32" s="19">
        <f t="shared" si="4"/>
        <v>520</v>
      </c>
      <c r="M32" s="19">
        <f t="shared" si="1"/>
        <v>10449.657905291942</v>
      </c>
      <c r="N32" s="19">
        <f t="shared" si="2"/>
        <v>9302.415198075694</v>
      </c>
      <c r="O32" s="19">
        <v>19752.07</v>
      </c>
      <c r="Q32" s="21"/>
    </row>
    <row r="33" spans="1:18" ht="27.75" customHeight="1">
      <c r="A33" s="2"/>
      <c r="B33" s="1" t="s">
        <v>6</v>
      </c>
      <c r="C33" s="19">
        <f>SUM(C8:C32)</f>
        <v>3135</v>
      </c>
      <c r="D33" s="19">
        <f>SUM(D8:D32)</f>
        <v>1134</v>
      </c>
      <c r="E33" s="19">
        <f>SUM(E8:E32)</f>
        <v>1198.5</v>
      </c>
      <c r="F33" s="19"/>
      <c r="G33" s="19">
        <f>SUM(G8:G32)</f>
        <v>2875.835714285714</v>
      </c>
      <c r="H33" s="1">
        <f>SUM(H8:H32)</f>
        <v>1320</v>
      </c>
      <c r="I33" s="1">
        <f>SUM(I9:I32)</f>
        <v>96</v>
      </c>
      <c r="J33" s="19">
        <f aca="true" t="shared" si="7" ref="J33:O33">SUM(J8:J32)</f>
        <v>4291.835714285714</v>
      </c>
      <c r="K33" s="19">
        <f t="shared" si="7"/>
        <v>2240.8100000000004</v>
      </c>
      <c r="L33" s="19">
        <f t="shared" si="7"/>
        <v>6532.645714285714</v>
      </c>
      <c r="M33" s="19">
        <f t="shared" si="7"/>
        <v>126333</v>
      </c>
      <c r="N33" s="19">
        <f t="shared" si="7"/>
        <v>126332.99999999997</v>
      </c>
      <c r="O33" s="19">
        <f t="shared" si="7"/>
        <v>252666.00000000003</v>
      </c>
      <c r="P33" s="6"/>
      <c r="Q33" s="30"/>
      <c r="R33" s="21"/>
    </row>
    <row r="34" spans="1:14" ht="24.75" customHeight="1">
      <c r="A34" s="4"/>
      <c r="D34" s="6"/>
      <c r="E34" s="6"/>
      <c r="F34" s="6"/>
      <c r="G34" s="24"/>
      <c r="H34" s="4"/>
      <c r="I34" s="4"/>
      <c r="J34" s="6"/>
      <c r="K34" s="6"/>
      <c r="L34" s="6"/>
      <c r="M34" s="6"/>
      <c r="N34" s="6"/>
    </row>
    <row r="35" spans="1:14" ht="30" customHeight="1">
      <c r="A35" s="4"/>
      <c r="B35" s="5" t="s">
        <v>47</v>
      </c>
      <c r="C35" s="3">
        <v>562000</v>
      </c>
      <c r="D35" s="6"/>
      <c r="E35" s="6"/>
      <c r="F35" s="6"/>
      <c r="G35" s="6"/>
      <c r="H35" s="4"/>
      <c r="I35" s="4"/>
      <c r="J35" s="6"/>
      <c r="K35" s="6"/>
      <c r="L35" s="6"/>
      <c r="M35" s="6"/>
      <c r="N35" s="6"/>
    </row>
    <row r="36" spans="1:14" ht="30" customHeight="1">
      <c r="A36" s="4"/>
      <c r="B36" s="5" t="s">
        <v>48</v>
      </c>
      <c r="C36" s="3">
        <v>280391</v>
      </c>
      <c r="D36" s="6"/>
      <c r="E36" s="6"/>
      <c r="F36" s="6"/>
      <c r="G36" s="6"/>
      <c r="H36" s="4"/>
      <c r="I36" s="4"/>
      <c r="J36" s="6"/>
      <c r="K36" s="6"/>
      <c r="L36" s="6"/>
      <c r="M36" s="6"/>
      <c r="N36" s="6"/>
    </row>
    <row r="37" spans="1:14" ht="29.25" customHeight="1">
      <c r="A37" s="4"/>
      <c r="B37" s="5" t="s">
        <v>49</v>
      </c>
      <c r="C37" s="3">
        <f>C35-C36</f>
        <v>281609</v>
      </c>
      <c r="D37" s="6"/>
      <c r="E37" s="6"/>
      <c r="F37" s="6"/>
      <c r="G37" s="6"/>
      <c r="H37" s="4"/>
      <c r="I37" s="4"/>
      <c r="J37" s="6"/>
      <c r="K37" s="6"/>
      <c r="L37" s="6"/>
      <c r="M37" s="6"/>
      <c r="N37" s="6"/>
    </row>
    <row r="38" spans="1:14" ht="21.75" customHeight="1">
      <c r="A38" s="4"/>
      <c r="B38" s="5"/>
      <c r="C38" s="3"/>
      <c r="D38" s="6"/>
      <c r="E38" s="6"/>
      <c r="F38" s="6"/>
      <c r="G38" s="6"/>
      <c r="H38" s="4"/>
      <c r="I38" s="4"/>
      <c r="J38" s="6"/>
      <c r="K38" s="6"/>
      <c r="L38" s="6"/>
      <c r="M38" s="6"/>
      <c r="N38" s="6"/>
    </row>
    <row r="39" spans="1:14" ht="25.5" customHeight="1">
      <c r="A39" s="4"/>
      <c r="B39" s="5" t="s">
        <v>41</v>
      </c>
      <c r="C39" s="27" t="s">
        <v>42</v>
      </c>
      <c r="D39" s="6"/>
      <c r="E39" s="6"/>
      <c r="F39" s="6"/>
      <c r="G39" s="6"/>
      <c r="H39" s="4"/>
      <c r="I39" s="4"/>
      <c r="J39" s="6"/>
      <c r="K39" s="6"/>
      <c r="L39" s="6"/>
      <c r="M39" s="6"/>
      <c r="N39" s="6"/>
    </row>
    <row r="40" spans="1:14" ht="49.5" customHeight="1">
      <c r="A40" s="4"/>
      <c r="B40" s="29" t="s">
        <v>51</v>
      </c>
      <c r="C40" s="3">
        <f>C35*10.3%</f>
        <v>57886.00000000001</v>
      </c>
      <c r="D40" s="6"/>
      <c r="E40" s="6"/>
      <c r="F40" s="6"/>
      <c r="G40" s="6"/>
      <c r="H40" s="4"/>
      <c r="I40" s="4"/>
      <c r="J40" s="6"/>
      <c r="K40" s="6"/>
      <c r="L40" s="6"/>
      <c r="M40" s="6"/>
      <c r="N40" s="6"/>
    </row>
    <row r="41" spans="1:14" ht="22.5" customHeight="1">
      <c r="A41" s="4"/>
      <c r="B41" s="28" t="s">
        <v>43</v>
      </c>
      <c r="C41" s="3">
        <v>28943</v>
      </c>
      <c r="D41" s="6"/>
      <c r="E41" s="6"/>
      <c r="F41" s="6"/>
      <c r="G41" s="6"/>
      <c r="H41" s="4"/>
      <c r="I41" s="4"/>
      <c r="J41" s="6"/>
      <c r="K41" s="6"/>
      <c r="L41" s="6"/>
      <c r="M41" s="6"/>
      <c r="N41" s="6"/>
    </row>
    <row r="42" spans="1:14" ht="21.75" customHeight="1">
      <c r="A42" s="4"/>
      <c r="B42" s="28" t="s">
        <v>50</v>
      </c>
      <c r="C42" s="3">
        <f>C40-C41</f>
        <v>28943.000000000007</v>
      </c>
      <c r="D42" s="6"/>
      <c r="E42" s="6"/>
      <c r="F42" s="6"/>
      <c r="G42" s="6"/>
      <c r="H42" s="4"/>
      <c r="I42" s="4"/>
      <c r="J42" s="6"/>
      <c r="K42" s="6"/>
      <c r="L42" s="6"/>
      <c r="M42" s="6"/>
      <c r="N42" s="6"/>
    </row>
    <row r="43" spans="1:14" ht="29.25" customHeight="1">
      <c r="A43" s="4"/>
      <c r="B43" s="5"/>
      <c r="C43" s="3"/>
      <c r="D43" s="6"/>
      <c r="E43" s="6"/>
      <c r="F43" s="6"/>
      <c r="G43" s="6"/>
      <c r="H43" s="4"/>
      <c r="I43" s="4"/>
      <c r="J43" s="6"/>
      <c r="K43" s="6"/>
      <c r="L43" s="6"/>
      <c r="M43" s="6"/>
      <c r="N43" s="6"/>
    </row>
    <row r="44" spans="1:14" ht="33.75" customHeight="1">
      <c r="A44" s="4"/>
      <c r="B44" s="8" t="s">
        <v>52</v>
      </c>
      <c r="C44" s="3">
        <f>C35-C40</f>
        <v>504114</v>
      </c>
      <c r="D44" s="6"/>
      <c r="E44" s="6"/>
      <c r="F44" s="6"/>
      <c r="G44" s="6"/>
      <c r="H44" s="4"/>
      <c r="I44" s="4"/>
      <c r="J44" s="6"/>
      <c r="K44" s="6"/>
      <c r="L44" s="6"/>
      <c r="M44" s="6"/>
      <c r="N44" s="6"/>
    </row>
    <row r="45" spans="1:14" ht="24" customHeight="1">
      <c r="A45" s="4"/>
      <c r="B45" s="28" t="s">
        <v>53</v>
      </c>
      <c r="C45" s="3">
        <v>251448</v>
      </c>
      <c r="D45" s="6"/>
      <c r="E45" s="25"/>
      <c r="F45" s="6"/>
      <c r="G45" s="6"/>
      <c r="H45" s="4"/>
      <c r="I45" s="4"/>
      <c r="J45" s="6"/>
      <c r="K45" s="6"/>
      <c r="L45" s="6"/>
      <c r="M45" s="6"/>
      <c r="N45" s="6"/>
    </row>
    <row r="46" spans="1:12" ht="33" customHeight="1">
      <c r="A46" s="4"/>
      <c r="B46" s="5" t="s">
        <v>54</v>
      </c>
      <c r="C46" s="3">
        <f>C44-C45</f>
        <v>252666</v>
      </c>
      <c r="D46" s="21"/>
      <c r="E46" s="24"/>
      <c r="F46" s="22"/>
      <c r="G46" s="11"/>
      <c r="J46" s="16"/>
      <c r="K46" s="16"/>
      <c r="L46" s="16"/>
    </row>
    <row r="47" spans="1:13" ht="22.5" customHeight="1">
      <c r="A47" s="4"/>
      <c r="B47" s="12" t="s">
        <v>30</v>
      </c>
      <c r="D47" s="3">
        <f>C46/2</f>
        <v>126333</v>
      </c>
      <c r="E47" s="13"/>
      <c r="F47" s="8"/>
      <c r="G47" s="11"/>
      <c r="L47" s="11"/>
      <c r="M47" s="11"/>
    </row>
    <row r="48" spans="1:13" ht="24" customHeight="1">
      <c r="A48" s="4"/>
      <c r="B48" s="12" t="s">
        <v>55</v>
      </c>
      <c r="D48" s="14">
        <f>D47/J33</f>
        <v>29.435656071244907</v>
      </c>
      <c r="E48" s="13"/>
      <c r="L48" s="11"/>
      <c r="M48" s="11"/>
    </row>
    <row r="49" spans="1:13" ht="21" customHeight="1">
      <c r="A49" s="4"/>
      <c r="B49" s="12" t="s">
        <v>39</v>
      </c>
      <c r="D49" s="3">
        <f>C46/2</f>
        <v>126333</v>
      </c>
      <c r="E49" s="15"/>
      <c r="J49" s="11"/>
      <c r="L49" s="11"/>
      <c r="M49" s="11"/>
    </row>
    <row r="50" spans="1:12" ht="18.75" customHeight="1">
      <c r="A50" s="4"/>
      <c r="B50" s="12" t="s">
        <v>56</v>
      </c>
      <c r="D50" s="14">
        <f>D49/K33</f>
        <v>56.37827392773148</v>
      </c>
      <c r="E50" s="15"/>
      <c r="F50" s="9"/>
      <c r="J50" s="11"/>
      <c r="K50" s="10"/>
      <c r="L50" s="11"/>
    </row>
    <row r="51" spans="1:6" ht="19.5" customHeight="1">
      <c r="A51" s="12"/>
      <c r="B51" s="12"/>
      <c r="D51" s="14"/>
      <c r="E51" s="15"/>
      <c r="F51" s="9"/>
    </row>
    <row r="52" spans="2:14" ht="15.75">
      <c r="B52" s="12"/>
      <c r="N52" s="31"/>
    </row>
    <row r="53" spans="2:14" ht="15.75">
      <c r="B53" s="11"/>
      <c r="N53" s="11"/>
    </row>
  </sheetData>
  <sheetProtection/>
  <printOptions/>
  <pageMargins left="0.1" right="0.1" top="0.2" bottom="0.19" header="0.236220472440945" footer="0.15748031496063"/>
  <pageSetup horizontalDpi="600" verticalDpi="600" orientation="landscape" paperSize="9" scale="61" r:id="rId1"/>
  <headerFooter alignWithMargins="0">
    <oddFooter>&amp;C&amp;P</oddFooter>
  </headerFooter>
  <rowBreaks count="1" manualBreakCount="1">
    <brk id="2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2021-02-01T15:29:45Z</cp:lastPrinted>
  <dcterms:created xsi:type="dcterms:W3CDTF">2008-04-09T11:23:43Z</dcterms:created>
  <dcterms:modified xsi:type="dcterms:W3CDTF">2021-02-02T08:07:54Z</dcterms:modified>
  <cp:category/>
  <cp:version/>
  <cp:contentType/>
  <cp:contentStatus/>
</cp:coreProperties>
</file>